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<sst xmlns="http://schemas.openxmlformats.org/spreadsheetml/2006/main" count="628" uniqueCount="158">
  <si>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</si>
  <si>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</si>
  <si>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</si>
  <si>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</si>
  <si>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</si>
  <si>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</si>
  <si>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</si>
  <si>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</si>
  <si>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</si>
  <si>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</si>
  <si>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</si>
  <si>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</si>
  <si>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</si>
  <si>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</si>
  <si>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</si>
  <si>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</si>
  <si>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</si>
  <si>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</si>
  <si>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</si>
  <si>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</si>
  <si>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</si>
  <si>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</si>
  <si>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</si>
  <si>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</si>
  <si>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</si>
  <si>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</si>
  <si>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</si>
  <si>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</si>
  <si>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</si>
  <si>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</si>
  <si>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</si>
  <si>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</si>
  <si>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</si>
  <si>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</si>
  <si>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</si>
  <si>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</si>
  <si>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</si>
  <si>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</si>
  <si>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</si>
  <si>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</si>
  <si>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</si>
  <si>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</si>
  <si>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</si>
  <si>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</si>
  <si>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</si>
  <si>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</si>
  <si>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</si>
  <si>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</si>
  <si>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</si>
  <si>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</si>
  <si>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</si>
  <si>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</si>
  <si>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</si>
  <si>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</si>
  <si>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</si>
  <si>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</si>
  <si>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</si>
  <si>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</si>
  <si>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</si>
  <si>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</si>
  <si>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</si>
  <si>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</si>
  <si>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</si>
  <si>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</si>
  <si>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</si>
  <si>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</si>
  <si>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</si>
  <si>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</si>
  <si>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</si>
  <si>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</si>
  <si>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</si>
  <si>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</si>
  <si>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</si>
  <si>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</si>
  <si>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</si>
  <si>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</si>
  <si>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</si>
  <si>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</si>
  <si>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</si>
  <si>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</si>
  <si>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</si>
  <si>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</si>
  <si>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</si>
  <si>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</si>
  <si>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</si>
  <si>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</si>
  <si>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</si>
  <si>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</si>
  <si>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</si>
  <si>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</si>
  <si>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</si>
  <si>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</si>
  <si>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</si>
  <si>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</si>
  <si>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</si>
  <si>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</si>
  <si>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</si>
  <si>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</si>
  <si>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</si>
  <si>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</si>
  <si>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</si>
  <si>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</si>
  <si>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</si>
  <si>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</si>
  <si>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</si>
  <si>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</si>
  <si>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</si>
  <si>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</si>
  <si>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</si>
  <si>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</si>
  <si>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</si>
  <si>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</si>
  <si>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</si>
  <si>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</si>
  <si>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</si>
  <si>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</si>
  <si>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</si>
  <si>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</si>
  <si>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</si>
  <si>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</si>
  <si>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</si>
  <si>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</si>
  <si>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</si>
  <si>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</si>
  <si>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</si>
  <si>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</si>
  <si>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</si>
  <si>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</si>
  <si>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</si>
  <si>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</si>
  <si>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</si>
  <si>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</si>
  <si>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</si>
  <si>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</si>
  <si>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</si>
  <si>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</si>
  <si>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</si>
  <si>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</si>
  <si>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</si>
  <si>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</si>
  <si>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</si>
  <si>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</si>
  <si>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</si>
  <si>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</si>
  <si>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</si>
  <si>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</si>
  <si>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</si>
  <si>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</si>
  <si>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</si>
  <si>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</si>
  <si>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</si>
  <si>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</si>
  <si>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</si>
  <si>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</si>
  <si>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</si>
  <si>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</si>
  <si>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13.04.2016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</si>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</sst>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229362.65999999997</v>
      </c>
      <c r="G8" s="15">
        <f aca="true" t="shared" si="0" ref="G8:G21">F8-E8</f>
        <v>-42312.02000000002</v>
      </c>
      <c r="H8" s="38">
        <f>F8/E8*100</f>
        <v>84.4254827133688</v>
      </c>
      <c r="I8" s="28">
        <f>F8-D8</f>
        <v>-611687.3400000001</v>
      </c>
      <c r="J8" s="28">
        <f>F8/D8*100</f>
        <v>27.2709898341359</v>
      </c>
      <c r="K8" s="15">
        <f>F8-198537.14</f>
        <v>30825.51999999996</v>
      </c>
      <c r="L8" s="15">
        <f>F8/198537.14*100</f>
        <v>115.52632419304516</v>
      </c>
      <c r="M8" s="15">
        <f>M9+M15+M18+M19+M20+M32+M17</f>
        <v>71360.49999999999</v>
      </c>
      <c r="N8" s="15">
        <f>N9+N15+N18+N19+N20+N32+N17</f>
        <v>19574.949999999983</v>
      </c>
      <c r="O8" s="15">
        <f>N8-M8</f>
        <v>-51785.55</v>
      </c>
      <c r="P8" s="15">
        <f>N8/M8*100</f>
        <v>27.43107181143628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126071.28</v>
      </c>
      <c r="G9" s="36">
        <f t="shared" si="0"/>
        <v>-19711.98999999999</v>
      </c>
      <c r="H9" s="32">
        <f>F9/E9*100</f>
        <v>86.4785650644275</v>
      </c>
      <c r="I9" s="42">
        <f>F9-D9</f>
        <v>-333628.72</v>
      </c>
      <c r="J9" s="42">
        <f>F9/D9*100</f>
        <v>27.424685664563846</v>
      </c>
      <c r="K9" s="106">
        <f>F9-110765.65</f>
        <v>15305.630000000005</v>
      </c>
      <c r="L9" s="106">
        <f>F9/110765.65*100</f>
        <v>113.81802932587857</v>
      </c>
      <c r="M9" s="32">
        <f>E9-березень!E9</f>
        <v>39799.999999999985</v>
      </c>
      <c r="N9" s="178">
        <f>F9-березень!F9</f>
        <v>13789.459999999992</v>
      </c>
      <c r="O9" s="40">
        <f>N9-M9</f>
        <v>-26010.539999999994</v>
      </c>
      <c r="P9" s="42">
        <f>N9/M9*100</f>
        <v>34.646884422110546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111460.16</v>
      </c>
      <c r="G10" s="109">
        <f t="shared" si="0"/>
        <v>-19456.679999999993</v>
      </c>
      <c r="H10" s="32">
        <f aca="true" t="shared" si="1" ref="H10:H31">F10/E10*100</f>
        <v>85.13813807299351</v>
      </c>
      <c r="I10" s="110">
        <f aca="true" t="shared" si="2" ref="I10:I32">F10-D10</f>
        <v>-299979.83999999997</v>
      </c>
      <c r="J10" s="110">
        <f aca="true" t="shared" si="3" ref="J10:J31">F10/D10*100</f>
        <v>27.09025860392767</v>
      </c>
      <c r="K10" s="112">
        <f>F10-98351.31</f>
        <v>13108.850000000006</v>
      </c>
      <c r="L10" s="112">
        <f>F10/98351.31*100</f>
        <v>113.32859725000104</v>
      </c>
      <c r="M10" s="111">
        <f>E10-березень!E10</f>
        <v>36300</v>
      </c>
      <c r="N10" s="179">
        <f>F10-березень!F10</f>
        <v>12995.779999999999</v>
      </c>
      <c r="O10" s="112">
        <f aca="true" t="shared" si="4" ref="O10:O32">N10-M10</f>
        <v>-23304.22</v>
      </c>
      <c r="P10" s="42">
        <f aca="true" t="shared" si="5" ref="P10:P25">N10/M10*100</f>
        <v>35.801046831955915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8325.37</v>
      </c>
      <c r="G11" s="109">
        <f t="shared" si="0"/>
        <v>-309.5699999999997</v>
      </c>
      <c r="H11" s="32">
        <f t="shared" si="1"/>
        <v>96.41491429008192</v>
      </c>
      <c r="I11" s="110">
        <f t="shared" si="2"/>
        <v>-14674.63</v>
      </c>
      <c r="J11" s="110">
        <f t="shared" si="3"/>
        <v>36.19726086956522</v>
      </c>
      <c r="K11" s="112">
        <f>F11-6301.46</f>
        <v>2023.9100000000008</v>
      </c>
      <c r="L11" s="112">
        <f>F11/6301.46*100</f>
        <v>132.11811231048046</v>
      </c>
      <c r="M11" s="111">
        <f>E11-березень!E11</f>
        <v>1550.000000000001</v>
      </c>
      <c r="N11" s="179">
        <f>F11-березень!F11</f>
        <v>248.26000000000113</v>
      </c>
      <c r="O11" s="112">
        <f t="shared" si="4"/>
        <v>-1301.7399999999998</v>
      </c>
      <c r="P11" s="42">
        <f t="shared" si="5"/>
        <v>16.01677419354845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2562.37</v>
      </c>
      <c r="G12" s="109">
        <f t="shared" si="0"/>
        <v>871.76</v>
      </c>
      <c r="H12" s="32">
        <f t="shared" si="1"/>
        <v>151.56481979877086</v>
      </c>
      <c r="I12" s="110">
        <f t="shared" si="2"/>
        <v>-3937.63</v>
      </c>
      <c r="J12" s="110">
        <f t="shared" si="3"/>
        <v>39.42107692307692</v>
      </c>
      <c r="K12" s="112">
        <f>F12-1718.24</f>
        <v>844.1299999999999</v>
      </c>
      <c r="L12" s="112">
        <f>F12/1718.24*100</f>
        <v>149.12759567929973</v>
      </c>
      <c r="M12" s="111">
        <f>E12-березень!E12</f>
        <v>585</v>
      </c>
      <c r="N12" s="179">
        <f>F12-березень!F12</f>
        <v>182.9000000000001</v>
      </c>
      <c r="O12" s="112">
        <f t="shared" si="4"/>
        <v>-402.0999999999999</v>
      </c>
      <c r="P12" s="42">
        <f t="shared" si="5"/>
        <v>31.264957264957282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2533.58</v>
      </c>
      <c r="G13" s="109">
        <f t="shared" si="0"/>
        <v>-131.26000000000022</v>
      </c>
      <c r="H13" s="32">
        <f t="shared" si="1"/>
        <v>95.07437594752405</v>
      </c>
      <c r="I13" s="110">
        <f t="shared" si="2"/>
        <v>-9866.42</v>
      </c>
      <c r="J13" s="110">
        <f t="shared" si="3"/>
        <v>20.432096774193546</v>
      </c>
      <c r="K13" s="112">
        <f>F13-1662.77</f>
        <v>870.81</v>
      </c>
      <c r="L13" s="112">
        <f>F13/1662.77*100</f>
        <v>152.3710434997023</v>
      </c>
      <c r="M13" s="111">
        <f>E13-березень!E13</f>
        <v>755.0000000000002</v>
      </c>
      <c r="N13" s="179">
        <f>F13-березень!F13</f>
        <v>108.63999999999987</v>
      </c>
      <c r="O13" s="112">
        <f t="shared" si="4"/>
        <v>-646.3600000000004</v>
      </c>
      <c r="P13" s="42">
        <f t="shared" si="5"/>
        <v>14.389403973509912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1189.81</v>
      </c>
      <c r="G14" s="109">
        <f t="shared" si="0"/>
        <v>-686.23</v>
      </c>
      <c r="H14" s="32">
        <f t="shared" si="1"/>
        <v>63.42135562141532</v>
      </c>
      <c r="I14" s="110">
        <f t="shared" si="2"/>
        <v>-5170.1900000000005</v>
      </c>
      <c r="J14" s="110">
        <f t="shared" si="3"/>
        <v>18.707704402515724</v>
      </c>
      <c r="K14" s="112">
        <f>F14-2731.87</f>
        <v>-1542.06</v>
      </c>
      <c r="L14" s="112">
        <f>F14/2731.87*100</f>
        <v>43.55295090908425</v>
      </c>
      <c r="M14" s="111">
        <f>E14-березень!E14</f>
        <v>610</v>
      </c>
      <c r="N14" s="179">
        <f>F14-березень!F14</f>
        <v>253.89</v>
      </c>
      <c r="O14" s="112">
        <f t="shared" si="4"/>
        <v>-356.11</v>
      </c>
      <c r="P14" s="42">
        <f t="shared" si="5"/>
        <v>41.62131147540983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18423.24</v>
      </c>
      <c r="G19" s="36">
        <f t="shared" si="0"/>
        <v>-10137.16</v>
      </c>
      <c r="H19" s="32">
        <f t="shared" si="1"/>
        <v>64.50623940841164</v>
      </c>
      <c r="I19" s="42">
        <f t="shared" si="2"/>
        <v>-91476.76</v>
      </c>
      <c r="J19" s="42">
        <f t="shared" si="3"/>
        <v>16.763639672429484</v>
      </c>
      <c r="K19" s="185">
        <f>F19-16357.62</f>
        <v>2065.620000000001</v>
      </c>
      <c r="L19" s="185">
        <f>F19/16357.62*100</f>
        <v>112.62787618247643</v>
      </c>
      <c r="M19" s="32">
        <f>E19-березень!E19</f>
        <v>8500</v>
      </c>
      <c r="N19" s="178">
        <f>F19-березень!F19</f>
        <v>152.35000000000218</v>
      </c>
      <c r="O19" s="40">
        <f t="shared" si="4"/>
        <v>-8347.649999999998</v>
      </c>
      <c r="P19" s="42">
        <f t="shared" si="5"/>
        <v>1.7923529411764962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84576.45</v>
      </c>
      <c r="G20" s="36">
        <f t="shared" si="0"/>
        <v>-12624.560000000012</v>
      </c>
      <c r="H20" s="32">
        <f t="shared" si="1"/>
        <v>87.01190450593053</v>
      </c>
      <c r="I20" s="42">
        <f t="shared" si="2"/>
        <v>-186363.55</v>
      </c>
      <c r="J20" s="42">
        <f t="shared" si="3"/>
        <v>31.21593341699269</v>
      </c>
      <c r="K20" s="132">
        <f>F20-70294.13</f>
        <v>14282.319999999992</v>
      </c>
      <c r="L20" s="132">
        <f>F20/70294.13*100</f>
        <v>120.31794119935759</v>
      </c>
      <c r="M20" s="32">
        <f>M21+M25+M26+M27</f>
        <v>23050.5</v>
      </c>
      <c r="N20" s="178">
        <f>F20-березень!F20</f>
        <v>5632.359999999986</v>
      </c>
      <c r="O20" s="40">
        <f t="shared" si="4"/>
        <v>-17418.140000000014</v>
      </c>
      <c r="P20" s="42">
        <f t="shared" si="5"/>
        <v>24.434871260927036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42436.009999999995</v>
      </c>
      <c r="G21" s="36">
        <f t="shared" si="0"/>
        <v>-9250.250000000007</v>
      </c>
      <c r="H21" s="32">
        <f t="shared" si="1"/>
        <v>82.10307729752549</v>
      </c>
      <c r="I21" s="42">
        <f t="shared" si="2"/>
        <v>-118963.99</v>
      </c>
      <c r="J21" s="42">
        <f t="shared" si="3"/>
        <v>26.292447335811648</v>
      </c>
      <c r="K21" s="132">
        <f>F21-37283.9</f>
        <v>5152.109999999993</v>
      </c>
      <c r="L21" s="132">
        <f>F21/37283.9*100</f>
        <v>113.81859193914798</v>
      </c>
      <c r="M21" s="32">
        <f>M22+M23+M24</f>
        <v>14845</v>
      </c>
      <c r="N21" s="178">
        <f>F21-березень!F21</f>
        <v>2047.8999999999942</v>
      </c>
      <c r="O21" s="40">
        <f t="shared" si="4"/>
        <v>-12797.100000000006</v>
      </c>
      <c r="P21" s="42">
        <f t="shared" si="5"/>
        <v>13.79521724486355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4785.96</v>
      </c>
      <c r="G22" s="109">
        <f>F22-E22</f>
        <v>-1845.6400000000003</v>
      </c>
      <c r="H22" s="111">
        <f t="shared" si="1"/>
        <v>72.16900898727306</v>
      </c>
      <c r="I22" s="110">
        <f t="shared" si="2"/>
        <v>-13714.04</v>
      </c>
      <c r="J22" s="110">
        <f t="shared" si="3"/>
        <v>25.870054054054055</v>
      </c>
      <c r="K22" s="174">
        <f>F22-4219.07</f>
        <v>566.8900000000003</v>
      </c>
      <c r="L22" s="174">
        <f>F22/4219.07*100</f>
        <v>113.4363734187866</v>
      </c>
      <c r="M22" s="111">
        <f>E22-березень!E22</f>
        <v>3100.0000000000005</v>
      </c>
      <c r="N22" s="179">
        <f>F22-березень!F22</f>
        <v>591.0699999999997</v>
      </c>
      <c r="O22" s="112">
        <f t="shared" si="4"/>
        <v>-2508.9300000000007</v>
      </c>
      <c r="P22" s="110">
        <f t="shared" si="5"/>
        <v>19.066774193548376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321.99</v>
      </c>
      <c r="G23" s="109">
        <f>F23-E23</f>
        <v>45.150000000000034</v>
      </c>
      <c r="H23" s="111">
        <f t="shared" si="1"/>
        <v>116.30905938448201</v>
      </c>
      <c r="I23" s="110">
        <f t="shared" si="2"/>
        <v>-2478.01</v>
      </c>
      <c r="J23" s="110">
        <f t="shared" si="3"/>
        <v>11.499642857142858</v>
      </c>
      <c r="K23" s="110">
        <f>F23-141.72</f>
        <v>180.27</v>
      </c>
      <c r="L23" s="110">
        <f>F23/141.72*100</f>
        <v>227.20152413209144</v>
      </c>
      <c r="M23" s="111">
        <f>E23-березень!E23</f>
        <v>74.99999999999997</v>
      </c>
      <c r="N23" s="179">
        <f>F23-березень!F23</f>
        <v>8.110000000000014</v>
      </c>
      <c r="O23" s="112">
        <f t="shared" si="4"/>
        <v>-66.88999999999996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37328.06</v>
      </c>
      <c r="G24" s="109">
        <f>F24-E24</f>
        <v>-7449.760000000002</v>
      </c>
      <c r="H24" s="111">
        <f t="shared" si="1"/>
        <v>83.36283454621059</v>
      </c>
      <c r="I24" s="110">
        <f t="shared" si="2"/>
        <v>-102771.94</v>
      </c>
      <c r="J24" s="110">
        <f t="shared" si="3"/>
        <v>26.64386866523911</v>
      </c>
      <c r="K24" s="174">
        <f>F24-32923.11</f>
        <v>4404.949999999997</v>
      </c>
      <c r="L24" s="174">
        <f>F24/32923.11*100</f>
        <v>113.37950758600871</v>
      </c>
      <c r="M24" s="111">
        <f>E24-березень!E24</f>
        <v>11670</v>
      </c>
      <c r="N24" s="179">
        <f>F24-березень!F24</f>
        <v>1448.7200000000012</v>
      </c>
      <c r="O24" s="112">
        <f t="shared" si="4"/>
        <v>-10221.279999999999</v>
      </c>
      <c r="P24" s="110">
        <f t="shared" si="5"/>
        <v>12.414053127677818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24.96</v>
      </c>
      <c r="G25" s="36">
        <f>F25-E25</f>
        <v>5.449999999999999</v>
      </c>
      <c r="H25" s="32">
        <f t="shared" si="1"/>
        <v>127.93439261916966</v>
      </c>
      <c r="I25" s="42">
        <f t="shared" si="2"/>
        <v>-52.04</v>
      </c>
      <c r="J25" s="42">
        <f t="shared" si="3"/>
        <v>32.41558441558441</v>
      </c>
      <c r="K25" s="132">
        <f>F25-23.16</f>
        <v>1.8000000000000007</v>
      </c>
      <c r="L25" s="132">
        <f>F25/23.16*100</f>
        <v>107.7720207253886</v>
      </c>
      <c r="M25" s="32">
        <f>E25-березень!E25</f>
        <v>5.500000000000002</v>
      </c>
      <c r="N25" s="178">
        <f>F25-березень!F25</f>
        <v>0.15000000000000213</v>
      </c>
      <c r="O25" s="40">
        <f t="shared" si="4"/>
        <v>-5.35</v>
      </c>
      <c r="P25" s="42">
        <f t="shared" si="5"/>
        <v>2.7272727272727653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-103.04</v>
      </c>
      <c r="G26" s="36">
        <f aca="true" t="shared" si="6" ref="G26:G32">F26-E26</f>
        <v>-103.04</v>
      </c>
      <c r="H26" s="32"/>
      <c r="I26" s="42">
        <f t="shared" si="2"/>
        <v>-103.04</v>
      </c>
      <c r="J26" s="42"/>
      <c r="K26" s="132">
        <f>F26-(-59.24)</f>
        <v>-43.800000000000004</v>
      </c>
      <c r="L26" s="132">
        <f>F26/(-59.24)*100</f>
        <v>173.93652937204592</v>
      </c>
      <c r="M26" s="32">
        <f>E26-березень!E26</f>
        <v>0</v>
      </c>
      <c r="N26" s="178">
        <f>F26-березень!F26</f>
        <v>-21.5</v>
      </c>
      <c r="O26" s="40">
        <f t="shared" si="4"/>
        <v>-21.5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42218.52</v>
      </c>
      <c r="G27" s="36">
        <f t="shared" si="6"/>
        <v>-3276.720000000001</v>
      </c>
      <c r="H27" s="32">
        <f t="shared" si="1"/>
        <v>92.79766410727804</v>
      </c>
      <c r="I27" s="42">
        <f t="shared" si="2"/>
        <v>-67244.48000000001</v>
      </c>
      <c r="J27" s="42">
        <f t="shared" si="3"/>
        <v>38.56875839324703</v>
      </c>
      <c r="K27" s="106">
        <f>F27-33046.32</f>
        <v>9172.199999999997</v>
      </c>
      <c r="L27" s="106">
        <f>F27/33046.32*100</f>
        <v>127.755586703754</v>
      </c>
      <c r="M27" s="32">
        <f>E27-березень!E27</f>
        <v>8200</v>
      </c>
      <c r="N27" s="178">
        <f>F27-березень!F27</f>
        <v>3605.8099999999977</v>
      </c>
      <c r="O27" s="40">
        <f t="shared" si="4"/>
        <v>-4594.190000000002</v>
      </c>
      <c r="P27" s="42">
        <f>N27/M27*100</f>
        <v>43.973292682926804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10339.99</v>
      </c>
      <c r="G29" s="109">
        <f t="shared" si="6"/>
        <v>-915.9799999999996</v>
      </c>
      <c r="H29" s="111">
        <f t="shared" si="1"/>
        <v>91.86227397549924</v>
      </c>
      <c r="I29" s="110">
        <f t="shared" si="2"/>
        <v>-17260.010000000002</v>
      </c>
      <c r="J29" s="110">
        <f t="shared" si="3"/>
        <v>37.46373188405797</v>
      </c>
      <c r="K29" s="142">
        <f>F29-8182.41</f>
        <v>2157.58</v>
      </c>
      <c r="L29" s="142">
        <f>F29/8182.41*100</f>
        <v>126.3685148996445</v>
      </c>
      <c r="M29" s="111">
        <f>E29-березень!E29</f>
        <v>1900</v>
      </c>
      <c r="N29" s="179">
        <f>F29-березень!F29</f>
        <v>527.5</v>
      </c>
      <c r="O29" s="112">
        <f t="shared" si="4"/>
        <v>-1372.5</v>
      </c>
      <c r="P29" s="110">
        <f>N29/M29*100</f>
        <v>27.76315789473684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31870.65</v>
      </c>
      <c r="G30" s="109">
        <f t="shared" si="6"/>
        <v>-2365.4300000000003</v>
      </c>
      <c r="H30" s="111">
        <f t="shared" si="1"/>
        <v>93.09082698720181</v>
      </c>
      <c r="I30" s="110">
        <f t="shared" si="2"/>
        <v>-49941.35</v>
      </c>
      <c r="J30" s="110">
        <f t="shared" si="3"/>
        <v>38.95596000586711</v>
      </c>
      <c r="K30" s="142">
        <f>F30-24859.36</f>
        <v>7011.290000000001</v>
      </c>
      <c r="L30" s="142">
        <f>F30/24859.36*100</f>
        <v>128.20382342908266</v>
      </c>
      <c r="M30" s="111">
        <f>E30-березень!E30</f>
        <v>6300</v>
      </c>
      <c r="N30" s="179">
        <f>F30-березень!F30</f>
        <v>3078.2700000000004</v>
      </c>
      <c r="O30" s="112">
        <f t="shared" si="4"/>
        <v>-3221.7299999999996</v>
      </c>
      <c r="P30" s="110">
        <f>N30/M30*100</f>
        <v>48.861428571428576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15209.57</v>
      </c>
      <c r="G33" s="15">
        <f>G34+G35+G36+G37+G38+G39+G41+G42+G43+G44+G45+G50+G51+G55</f>
        <v>963.5599999999989</v>
      </c>
      <c r="H33" s="38">
        <f>F33/E33*100</f>
        <v>106.76356851698334</v>
      </c>
      <c r="I33" s="28">
        <f>F33-D33</f>
        <v>-27610.43</v>
      </c>
      <c r="J33" s="28">
        <f>F33/D33*100</f>
        <v>35.51978047641289</v>
      </c>
      <c r="K33" s="15">
        <f>F33-10433.59</f>
        <v>4775.98</v>
      </c>
      <c r="L33" s="15">
        <f>F33/10433.59*100</f>
        <v>145.77504003895112</v>
      </c>
      <c r="M33" s="15">
        <f>M34+M35+M36+M37+M38+M39+M41+M42+M43+M44+M45+M50+M51+M55</f>
        <v>3735.999</v>
      </c>
      <c r="N33" s="15">
        <f>N34+N35+N36+N37+N38+N39+N41+N42+N43+N44+N45+N50+N51+N55</f>
        <v>4537.299999999999</v>
      </c>
      <c r="O33" s="15">
        <f>O34+O35+O36+O37+O38+O39+O41+O42+O43+O44+O45+O50+O51+O55</f>
        <v>801.3009999999997</v>
      </c>
      <c r="P33" s="15">
        <f>N33/M33*100</f>
        <v>121.44810531266201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25.49</v>
      </c>
      <c r="G38" s="36">
        <f t="shared" si="9"/>
        <v>-14.510000000000002</v>
      </c>
      <c r="H38" s="32">
        <f t="shared" si="7"/>
        <v>63.725</v>
      </c>
      <c r="I38" s="42">
        <f t="shared" si="10"/>
        <v>-124.51</v>
      </c>
      <c r="J38" s="42">
        <f t="shared" si="12"/>
        <v>16.993333333333332</v>
      </c>
      <c r="K38" s="42">
        <f>F38-41.25</f>
        <v>-15.760000000000002</v>
      </c>
      <c r="L38" s="42">
        <f>F38/41.25*100</f>
        <v>61.79393939393939</v>
      </c>
      <c r="M38" s="32">
        <f>E38-березень!E38</f>
        <v>10</v>
      </c>
      <c r="N38" s="178">
        <f>F38-березень!F38</f>
        <v>5.09</v>
      </c>
      <c r="O38" s="40">
        <f t="shared" si="11"/>
        <v>-4.91</v>
      </c>
      <c r="P38" s="42">
        <f t="shared" si="8"/>
        <v>50.9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2582.47</v>
      </c>
      <c r="G41" s="36">
        <f t="shared" si="9"/>
        <v>-356.5500000000002</v>
      </c>
      <c r="H41" s="32">
        <f t="shared" si="7"/>
        <v>87.86840511463005</v>
      </c>
      <c r="I41" s="42">
        <f t="shared" si="10"/>
        <v>-7317.530000000001</v>
      </c>
      <c r="J41" s="42">
        <f t="shared" si="12"/>
        <v>26.085555555555555</v>
      </c>
      <c r="K41" s="42">
        <f>F41-3348.03</f>
        <v>-765.5600000000004</v>
      </c>
      <c r="L41" s="42">
        <f>F41/3348.03*100</f>
        <v>77.13401612291406</v>
      </c>
      <c r="M41" s="32">
        <f>E41-березень!E41</f>
        <v>800</v>
      </c>
      <c r="N41" s="178">
        <f>F41-березень!F41</f>
        <v>242.88999999999987</v>
      </c>
      <c r="O41" s="40">
        <f t="shared" si="11"/>
        <v>-557.1100000000001</v>
      </c>
      <c r="P41" s="42">
        <f t="shared" si="8"/>
        <v>30.361249999999984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1678.1</v>
      </c>
      <c r="G45" s="36">
        <f t="shared" si="9"/>
        <v>-336.09000000000015</v>
      </c>
      <c r="H45" s="32">
        <f t="shared" si="7"/>
        <v>83.3138879648891</v>
      </c>
      <c r="I45" s="42">
        <f t="shared" si="10"/>
        <v>-5621.9</v>
      </c>
      <c r="J45" s="42">
        <f t="shared" si="12"/>
        <v>22.98767123287671</v>
      </c>
      <c r="K45" s="132">
        <f>F45-2831.1</f>
        <v>-1153</v>
      </c>
      <c r="L45" s="132">
        <f>F45/2831.1*100</f>
        <v>59.27378050934266</v>
      </c>
      <c r="M45" s="32">
        <f>E45-березень!E45</f>
        <v>641</v>
      </c>
      <c r="N45" s="178">
        <f>F45-березень!F45</f>
        <v>178</v>
      </c>
      <c r="O45" s="40">
        <f t="shared" si="11"/>
        <v>-463</v>
      </c>
      <c r="P45" s="132">
        <f t="shared" si="8"/>
        <v>27.769110764430575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187.64</v>
      </c>
      <c r="G46" s="36">
        <f t="shared" si="9"/>
        <v>-101.35000000000002</v>
      </c>
      <c r="H46" s="32">
        <f t="shared" si="7"/>
        <v>64.92958233848921</v>
      </c>
      <c r="I46" s="110">
        <f t="shared" si="10"/>
        <v>-912.36</v>
      </c>
      <c r="J46" s="110">
        <f t="shared" si="12"/>
        <v>17.058181818181815</v>
      </c>
      <c r="K46" s="110">
        <f>F46-319.39</f>
        <v>-131.75</v>
      </c>
      <c r="L46" s="110">
        <f>F46/319.39*100</f>
        <v>58.74949121763361</v>
      </c>
      <c r="M46" s="111">
        <f>E46-березень!E46</f>
        <v>100</v>
      </c>
      <c r="N46" s="179">
        <f>F46-березень!F46</f>
        <v>23.95999999999998</v>
      </c>
      <c r="O46" s="112">
        <f t="shared" si="11"/>
        <v>-76.04000000000002</v>
      </c>
      <c r="P46" s="132">
        <f t="shared" si="8"/>
        <v>23.95999999999998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1490.35</v>
      </c>
      <c r="G49" s="36">
        <f t="shared" si="9"/>
        <v>-231.82000000000016</v>
      </c>
      <c r="H49" s="32">
        <f t="shared" si="7"/>
        <v>86.53907570100512</v>
      </c>
      <c r="I49" s="110">
        <f t="shared" si="10"/>
        <v>-4663.65</v>
      </c>
      <c r="J49" s="110">
        <f t="shared" si="12"/>
        <v>24.217582060448485</v>
      </c>
      <c r="K49" s="110">
        <f>F49-2466.52</f>
        <v>-976.1700000000001</v>
      </c>
      <c r="L49" s="110">
        <f>F49/2466.52*100</f>
        <v>60.42318732465173</v>
      </c>
      <c r="M49" s="111">
        <f>E49-березень!E49</f>
        <v>540</v>
      </c>
      <c r="N49" s="179">
        <f>F49-березень!F49</f>
        <v>154.04999999999995</v>
      </c>
      <c r="O49" s="112">
        <f t="shared" si="11"/>
        <v>-385.95000000000005</v>
      </c>
      <c r="P49" s="132">
        <f t="shared" si="8"/>
        <v>28.527777777777768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1379.87</v>
      </c>
      <c r="G51" s="36">
        <f t="shared" si="9"/>
        <v>-98.11000000000013</v>
      </c>
      <c r="H51" s="32">
        <f t="shared" si="7"/>
        <v>93.36188581712878</v>
      </c>
      <c r="I51" s="42">
        <f t="shared" si="10"/>
        <v>-3420.13</v>
      </c>
      <c r="J51" s="42">
        <f t="shared" si="12"/>
        <v>28.747291666666662</v>
      </c>
      <c r="K51" s="42">
        <f>F51-1435.76</f>
        <v>-55.8900000000001</v>
      </c>
      <c r="L51" s="42">
        <f>F51/1435.76*100</f>
        <v>96.10728812614921</v>
      </c>
      <c r="M51" s="32">
        <f>E51-березень!E51</f>
        <v>470</v>
      </c>
      <c r="N51" s="178">
        <f>F51-березень!F51</f>
        <v>265.03</v>
      </c>
      <c r="O51" s="40">
        <f t="shared" si="11"/>
        <v>-204.97000000000003</v>
      </c>
      <c r="P51" s="42">
        <f t="shared" si="8"/>
        <v>56.38936170212765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330.5</v>
      </c>
      <c r="G53" s="36"/>
      <c r="H53" s="32"/>
      <c r="I53" s="42"/>
      <c r="J53" s="42"/>
      <c r="K53" s="112">
        <f>F53-313.7</f>
        <v>16.80000000000001</v>
      </c>
      <c r="L53" s="112">
        <f>F53/313.7*100</f>
        <v>105.35543512910424</v>
      </c>
      <c r="M53" s="32">
        <f>E53-березень!E53</f>
        <v>0</v>
      </c>
      <c r="N53" s="179">
        <f>F53-березень!F53</f>
        <v>101.80000000000001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244586.11999999997</v>
      </c>
      <c r="G58" s="37">
        <f>F58-E58</f>
        <v>-41342.18999999997</v>
      </c>
      <c r="H58" s="38">
        <f>F58/E58*100</f>
        <v>85.5410644717202</v>
      </c>
      <c r="I58" s="28">
        <f>F58-D58</f>
        <v>-639314.48</v>
      </c>
      <c r="J58" s="28">
        <f>F58/D58*100</f>
        <v>27.671224569821533</v>
      </c>
      <c r="K58" s="28">
        <f>F58-208977.28</f>
        <v>35608.83999999997</v>
      </c>
      <c r="L58" s="28">
        <f>F58/208977.28*100</f>
        <v>117.03957482842154</v>
      </c>
      <c r="M58" s="15">
        <f>M8+M33+M56+M57</f>
        <v>75098.79899999998</v>
      </c>
      <c r="N58" s="15">
        <f>N8+N33+N56+N57</f>
        <v>24120.339999999982</v>
      </c>
      <c r="O58" s="41">
        <f>N58-M58</f>
        <v>-50978.459</v>
      </c>
      <c r="P58" s="28">
        <f>N58/M58*100</f>
        <v>32.118143460589806</v>
      </c>
      <c r="Q58" s="28">
        <f>N58-34768</f>
        <v>-10647.660000000018</v>
      </c>
      <c r="R58" s="128">
        <f>N58/34768</f>
        <v>0.6937511504832025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0.17</v>
      </c>
      <c r="G67" s="36">
        <f aca="true" t="shared" si="13" ref="G67:G77">F67-E67</f>
        <v>-366.43</v>
      </c>
      <c r="H67" s="32"/>
      <c r="I67" s="43">
        <f aca="true" t="shared" si="14" ref="I67:I77">F67-D67</f>
        <v>-4199.83</v>
      </c>
      <c r="J67" s="43">
        <f>F67/D67*100</f>
        <v>0.004047619047619048</v>
      </c>
      <c r="K67" s="43">
        <f>F67-91.72</f>
        <v>-91.55</v>
      </c>
      <c r="L67" s="43">
        <f>F67/91.72*100</f>
        <v>0.18534670737025732</v>
      </c>
      <c r="M67" s="32">
        <f>E67-березень!E67</f>
        <v>294.6</v>
      </c>
      <c r="N67" s="178">
        <f>F67-березень!F67</f>
        <v>0.020000000000000018</v>
      </c>
      <c r="O67" s="40">
        <f aca="true" t="shared" si="15" ref="O67:O80">N67-M67</f>
        <v>-294.58000000000004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450.48</v>
      </c>
      <c r="G68" s="36">
        <f t="shared" si="13"/>
        <v>-1183.53</v>
      </c>
      <c r="H68" s="32">
        <f>F68/E68*100</f>
        <v>27.56898672590743</v>
      </c>
      <c r="I68" s="43">
        <f t="shared" si="14"/>
        <v>-7008.52</v>
      </c>
      <c r="J68" s="43">
        <f>F68/D68*100</f>
        <v>6.039415471242794</v>
      </c>
      <c r="K68" s="43">
        <f>F68-1938.06</f>
        <v>-1487.58</v>
      </c>
      <c r="L68" s="43">
        <f>F68/1938.06*100</f>
        <v>23.243862419120155</v>
      </c>
      <c r="M68" s="32">
        <f>E68-березень!E68</f>
        <v>242.5999999999999</v>
      </c>
      <c r="N68" s="178">
        <f>F68-березень!F68</f>
        <v>131.84000000000003</v>
      </c>
      <c r="O68" s="40">
        <f t="shared" si="15"/>
        <v>-110.75999999999988</v>
      </c>
      <c r="P68" s="43">
        <f>N68/M68*100</f>
        <v>54.3446001648805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7957.68</v>
      </c>
      <c r="G69" s="36">
        <f t="shared" si="13"/>
        <v>6768.83</v>
      </c>
      <c r="H69" s="32">
        <f>F69/E69*100</f>
        <v>669.35946502923</v>
      </c>
      <c r="I69" s="43">
        <f t="shared" si="14"/>
        <v>1957.6800000000003</v>
      </c>
      <c r="J69" s="43">
        <f>F69/D69*100</f>
        <v>132.62800000000001</v>
      </c>
      <c r="K69" s="43">
        <f>F69-34.14</f>
        <v>7923.54</v>
      </c>
      <c r="L69" s="43">
        <f>F69/34.14*100</f>
        <v>23308.96309314587</v>
      </c>
      <c r="M69" s="32">
        <f>E69-березень!E69</f>
        <v>301.9999999999999</v>
      </c>
      <c r="N69" s="178">
        <f>F69-березень!F69</f>
        <v>0.5900000000001455</v>
      </c>
      <c r="O69" s="40">
        <f t="shared" si="15"/>
        <v>-301.40999999999974</v>
      </c>
      <c r="P69" s="43">
        <f>N69/M69*100</f>
        <v>0.19536423841064432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8412.33</v>
      </c>
      <c r="G71" s="45">
        <f t="shared" si="13"/>
        <v>5218.87</v>
      </c>
      <c r="H71" s="52">
        <f>F71/E71*100</f>
        <v>263.4236846555147</v>
      </c>
      <c r="I71" s="44">
        <f t="shared" si="14"/>
        <v>-9258.67</v>
      </c>
      <c r="J71" s="44">
        <f>F71/D71*100</f>
        <v>47.60528549601041</v>
      </c>
      <c r="K71" s="44">
        <f>F71-1938.06</f>
        <v>6474.27</v>
      </c>
      <c r="L71" s="44">
        <f>F71/1938.06*100</f>
        <v>434.0593170490078</v>
      </c>
      <c r="M71" s="45">
        <f>M67+M68+M69+M70</f>
        <v>840.1999999999998</v>
      </c>
      <c r="N71" s="183">
        <f>N67+N68+N69+N70</f>
        <v>133.4500000000002</v>
      </c>
      <c r="O71" s="44">
        <f t="shared" si="15"/>
        <v>-706.7499999999997</v>
      </c>
      <c r="P71" s="44">
        <f>N71/M71*100</f>
        <v>15.883123065936708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0.61</v>
      </c>
      <c r="G72" s="36">
        <f t="shared" si="13"/>
        <v>0.61</v>
      </c>
      <c r="H72" s="32"/>
      <c r="I72" s="43">
        <f t="shared" si="14"/>
        <v>-0.39</v>
      </c>
      <c r="J72" s="43"/>
      <c r="K72" s="43">
        <f>F72-0</f>
        <v>0.61</v>
      </c>
      <c r="L72" s="43"/>
      <c r="M72" s="32">
        <f>E72-березень!E72</f>
        <v>0</v>
      </c>
      <c r="N72" s="178">
        <f>F72-березень!F72</f>
        <v>0.16999999999999998</v>
      </c>
      <c r="O72" s="40">
        <f t="shared" si="15"/>
        <v>0.16999999999999998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2022.43</v>
      </c>
      <c r="G74" s="36">
        <f t="shared" si="13"/>
        <v>1.7300000000000182</v>
      </c>
      <c r="H74" s="32">
        <f>F74/E74*100</f>
        <v>100.08561389617458</v>
      </c>
      <c r="I74" s="43">
        <f t="shared" si="14"/>
        <v>-7477.57</v>
      </c>
      <c r="J74" s="40">
        <f>F74/D74*100</f>
        <v>21.288736842105262</v>
      </c>
      <c r="K74" s="40">
        <f>F74-0</f>
        <v>2022.43</v>
      </c>
      <c r="L74" s="43"/>
      <c r="M74" s="32">
        <f>E74-березень!E74</f>
        <v>15</v>
      </c>
      <c r="N74" s="178">
        <f>F74-березень!F74</f>
        <v>3.4300000000000637</v>
      </c>
      <c r="O74" s="40">
        <f>N74-M74</f>
        <v>-11.569999999999936</v>
      </c>
      <c r="P74" s="46">
        <f>N74/M74*100</f>
        <v>22.86666666666709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2023.44</v>
      </c>
      <c r="G76" s="30">
        <f>G72+G75+G73+G74</f>
        <v>2.740000000000018</v>
      </c>
      <c r="H76" s="52">
        <f>F76/E76*100</f>
        <v>100.13559657544415</v>
      </c>
      <c r="I76" s="44">
        <f t="shared" si="14"/>
        <v>-7477.5599999999995</v>
      </c>
      <c r="J76" s="44">
        <f>F76/D76*100</f>
        <v>21.29712661825071</v>
      </c>
      <c r="K76" s="44">
        <f>F76-0.7</f>
        <v>2022.74</v>
      </c>
      <c r="L76" s="44">
        <f>F76/0.7*100</f>
        <v>289062.85714285716</v>
      </c>
      <c r="M76" s="45">
        <f>M72+M75+M73+M74</f>
        <v>15</v>
      </c>
      <c r="N76" s="183">
        <f>N72+N75+N73+N74</f>
        <v>3.6000000000000636</v>
      </c>
      <c r="O76" s="45">
        <f>O72+O75+O73+O74</f>
        <v>-11.399999999999936</v>
      </c>
      <c r="P76" s="44">
        <f>N76/M76*100</f>
        <v>24.000000000000423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10444.69</v>
      </c>
      <c r="G79" s="37">
        <f>F79-E79</f>
        <v>5217.39</v>
      </c>
      <c r="H79" s="38">
        <f>F79/E79*100</f>
        <v>199.81041838042583</v>
      </c>
      <c r="I79" s="28">
        <f>F79-D79</f>
        <v>-16770.309999999998</v>
      </c>
      <c r="J79" s="28">
        <f>F79/D79*100</f>
        <v>38.37843101230939</v>
      </c>
      <c r="K79" s="28">
        <f>F79-2072.3</f>
        <v>8372.39</v>
      </c>
      <c r="L79" s="28">
        <f>F79/2072.3*100</f>
        <v>504.0143801573131</v>
      </c>
      <c r="M79" s="24">
        <f>M65+M77+M71+M76</f>
        <v>855.6299999999998</v>
      </c>
      <c r="N79" s="24">
        <f>N65+N77+N71+N76+N78</f>
        <v>137.05000000000024</v>
      </c>
      <c r="O79" s="28">
        <f t="shared" si="15"/>
        <v>-718.5799999999995</v>
      </c>
      <c r="P79" s="28">
        <f>N79/M79*100</f>
        <v>16.017437443754925</v>
      </c>
      <c r="Q79" s="28">
        <f>N79-8104.96</f>
        <v>-7967.91</v>
      </c>
      <c r="R79" s="101">
        <f>N79/8104.96</f>
        <v>0.016909398689197754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255030.80999999997</v>
      </c>
      <c r="G80" s="37">
        <f>F80-E80</f>
        <v>-36124.79999999996</v>
      </c>
      <c r="H80" s="38">
        <f>F80/E80*100</f>
        <v>87.59261413510117</v>
      </c>
      <c r="I80" s="28">
        <f>F80-D80</f>
        <v>-656084.79</v>
      </c>
      <c r="J80" s="28">
        <f>F80/D80*100</f>
        <v>27.991048556297354</v>
      </c>
      <c r="K80" s="28">
        <f>F80-211049.59</f>
        <v>43981.21999999997</v>
      </c>
      <c r="L80" s="28">
        <f>F80/211049.59*100</f>
        <v>120.83928236960799</v>
      </c>
      <c r="M80" s="15">
        <f>M58+M79</f>
        <v>75954.42899999999</v>
      </c>
      <c r="N80" s="15">
        <f>N58+N79</f>
        <v>24257.38999999998</v>
      </c>
      <c r="O80" s="28">
        <f t="shared" si="15"/>
        <v>-51697.039000000004</v>
      </c>
      <c r="P80" s="28">
        <f>N80/M80*100</f>
        <v>31.936768295631563</v>
      </c>
      <c r="Q80" s="28">
        <f>N80-42872.96</f>
        <v>-18615.570000000018</v>
      </c>
      <c r="R80" s="101">
        <f>N80/42872.96</f>
        <v>0.5657969498723667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13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3921.419923076923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42472</v>
      </c>
      <c r="D84" s="31">
        <v>2489</v>
      </c>
      <c r="G84" s="4" t="s">
        <v>59</v>
      </c>
      <c r="N84" s="216"/>
      <c r="O84" s="216"/>
    </row>
    <row r="85" spans="3:15" ht="15">
      <c r="C85" s="87">
        <v>42471</v>
      </c>
      <c r="D85" s="31">
        <v>1664.69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42468</v>
      </c>
      <c r="D86" s="31">
        <v>2066.3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43.22831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5" sqref="F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228.7</v>
      </c>
      <c r="G53" s="36"/>
      <c r="H53" s="32"/>
      <c r="I53" s="42"/>
      <c r="J53" s="42"/>
      <c r="K53" s="112">
        <f>F53-239.6</f>
        <v>-10.900000000000006</v>
      </c>
      <c r="L53" s="112">
        <f>F53/239.6*100</f>
        <v>95.4507512520868</v>
      </c>
      <c r="M53" s="111"/>
      <c r="N53" s="179">
        <f>F53-лютий!F53</f>
        <v>81.39999999999998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2016-04-13T07:01:08Z</cp:lastPrinted>
  <dcterms:created xsi:type="dcterms:W3CDTF">2003-07-28T11:27:56Z</dcterms:created>
  <dcterms:modified xsi:type="dcterms:W3CDTF">2016-04-13T07:40:42Z</dcterms:modified>
  <cp:category/>
  <cp:version/>
  <cp:contentType/>
  <cp:contentStatus/>
</cp:coreProperties>
</file>